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w\Desktop\"/>
    </mc:Choice>
  </mc:AlternateContent>
  <bookViews>
    <workbookView xWindow="0" yWindow="0" windowWidth="30720" windowHeight="13512"/>
  </bookViews>
  <sheets>
    <sheet name="Conversion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L22" i="1"/>
  <c r="L21" i="1"/>
  <c r="L20" i="1"/>
  <c r="L19" i="1"/>
  <c r="L13" i="1"/>
  <c r="S4" i="1"/>
  <c r="S5" i="1"/>
  <c r="S6" i="1"/>
  <c r="S7" i="1"/>
  <c r="S8" i="1"/>
  <c r="S3" i="1"/>
  <c r="L12" i="1"/>
  <c r="L5" i="1"/>
  <c r="L14" i="1" l="1"/>
  <c r="L16" i="1"/>
  <c r="L15" i="1"/>
  <c r="L11" i="1"/>
  <c r="L7" i="1"/>
  <c r="L6" i="1"/>
  <c r="L4" i="1"/>
  <c r="L3" i="1"/>
  <c r="L8" i="1"/>
  <c r="D24" i="1" l="1"/>
  <c r="D23" i="1"/>
  <c r="D22" i="1"/>
  <c r="D21" i="1"/>
  <c r="D20" i="1"/>
  <c r="D19" i="1"/>
  <c r="D16" i="1"/>
  <c r="D15" i="1"/>
  <c r="D14" i="1"/>
  <c r="D13" i="1"/>
  <c r="D12" i="1"/>
  <c r="D11" i="1"/>
  <c r="D32" i="1"/>
  <c r="D8" i="1"/>
  <c r="D31" i="1"/>
  <c r="D7" i="1"/>
  <c r="D30" i="1"/>
  <c r="D6" i="1"/>
  <c r="D29" i="1"/>
  <c r="D5" i="1"/>
  <c r="D28" i="1"/>
  <c r="D4" i="1"/>
  <c r="D27" i="1"/>
  <c r="D3" i="1"/>
</calcChain>
</file>

<file path=xl/sharedStrings.xml><?xml version="1.0" encoding="utf-8"?>
<sst xmlns="http://schemas.openxmlformats.org/spreadsheetml/2006/main" count="145" uniqueCount="52">
  <si>
    <t>Enter</t>
  </si>
  <si>
    <t>Result</t>
  </si>
  <si>
    <t>keV</t>
  </si>
  <si>
    <t>nm</t>
  </si>
  <si>
    <t>units</t>
  </si>
  <si>
    <t>mm</t>
  </si>
  <si>
    <t>Wavelength</t>
  </si>
  <si>
    <t xml:space="preserve"> Å</t>
  </si>
  <si>
    <t>Energy</t>
  </si>
  <si>
    <t>JEOL (TAP)</t>
  </si>
  <si>
    <r>
      <t>Cameca</t>
    </r>
    <r>
      <rPr>
        <sz val="11"/>
        <color theme="1"/>
        <rFont val="Calibri"/>
        <family val="2"/>
      </rPr>
      <t xml:space="preserve"> (TAP)</t>
    </r>
  </si>
  <si>
    <t>JEOL (PET)</t>
  </si>
  <si>
    <r>
      <t>Cameca</t>
    </r>
    <r>
      <rPr>
        <sz val="11"/>
        <color theme="1"/>
        <rFont val="Calibri"/>
        <family val="2"/>
      </rPr>
      <t xml:space="preserve"> (PET)</t>
    </r>
  </si>
  <si>
    <t>JEOL (LIF)</t>
  </si>
  <si>
    <r>
      <t>Cameca</t>
    </r>
    <r>
      <rPr>
        <sz val="11"/>
        <color theme="1"/>
        <rFont val="Calibri"/>
        <family val="2"/>
      </rPr>
      <t xml:space="preserve"> (LIF)</t>
    </r>
  </si>
  <si>
    <t>Entry</t>
  </si>
  <si>
    <r>
      <t>10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sin</t>
    </r>
    <r>
      <rPr>
        <sz val="11"/>
        <color theme="1"/>
        <rFont val="Calibri"/>
        <family val="2"/>
      </rPr>
      <t>θ</t>
    </r>
  </si>
  <si>
    <r>
      <t xml:space="preserve">Bragg angle </t>
    </r>
    <r>
      <rPr>
        <sz val="11"/>
        <color theme="1"/>
        <rFont val="Calibri"/>
        <family val="2"/>
      </rPr>
      <t>θ</t>
    </r>
  </si>
  <si>
    <r>
      <t xml:space="preserve">degrees, </t>
    </r>
    <r>
      <rPr>
        <sz val="11"/>
        <color theme="1"/>
        <rFont val="Calibri"/>
        <family val="2"/>
      </rPr>
      <t>°</t>
    </r>
  </si>
  <si>
    <r>
      <t>for PET crystals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= 8.742 </t>
    </r>
    <r>
      <rPr>
        <b/>
        <sz val="11"/>
        <color theme="1"/>
        <rFont val="Calibri"/>
        <family val="2"/>
      </rPr>
      <t>Å</t>
    </r>
  </si>
  <si>
    <r>
      <t>for LIF crystals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= 4.0267 </t>
    </r>
    <r>
      <rPr>
        <b/>
        <sz val="11"/>
        <color theme="1"/>
        <rFont val="Calibri"/>
        <family val="2"/>
      </rPr>
      <t>Å</t>
    </r>
  </si>
  <si>
    <t>Approximate Minimum</t>
  </si>
  <si>
    <t>Approximate Maximum</t>
  </si>
  <si>
    <t>Decimal places</t>
  </si>
  <si>
    <r>
      <t>for TAP crystals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= 25.756 Å *</t>
    </r>
  </si>
  <si>
    <r>
      <rPr>
        <b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Fulton et al. 1990. Acta Cryst. C46, 1621-1622.</t>
    </r>
  </si>
  <si>
    <t>JEOL (LDE1)</t>
  </si>
  <si>
    <t>JEOL (LDE2)</t>
  </si>
  <si>
    <t>JEOL (LDEB)</t>
  </si>
  <si>
    <t>Cameca (PC2)</t>
  </si>
  <si>
    <t>Cameca (PC1)</t>
  </si>
  <si>
    <t>LDE spacings: http://www.mcswiggen.com/FAQs/FAQ_EF-6.htm</t>
  </si>
  <si>
    <t>C</t>
  </si>
  <si>
    <t>B</t>
  </si>
  <si>
    <t>N</t>
  </si>
  <si>
    <t>O</t>
  </si>
  <si>
    <t>F</t>
  </si>
  <si>
    <t>Ne</t>
  </si>
  <si>
    <r>
      <t>for LDE1 / PC1 diffractors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~60 Å</t>
    </r>
  </si>
  <si>
    <r>
      <t>for LDE2 / PC2 diffractors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~100 Å </t>
    </r>
  </si>
  <si>
    <r>
      <t>Element               (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</rPr>
      <t>α line)</t>
    </r>
  </si>
  <si>
    <t>λ (Å)</t>
  </si>
  <si>
    <t>X-ray Data Booklet (keV)</t>
  </si>
  <si>
    <t>https://xdb.lbl.gov/Section1/Sec_1-2.html</t>
  </si>
  <si>
    <r>
      <t>for TAP crystals 2</t>
    </r>
    <r>
      <rPr>
        <b/>
        <i/>
        <sz val="11"/>
        <color rgb="FF0000FF"/>
        <rFont val="Calibri"/>
        <family val="2"/>
        <scheme val="minor"/>
      </rPr>
      <t>d</t>
    </r>
    <r>
      <rPr>
        <b/>
        <sz val="11"/>
        <color rgb="FF0000FF"/>
        <rFont val="Calibri"/>
        <family val="2"/>
        <scheme val="minor"/>
      </rPr>
      <t xml:space="preserve"> = 25.745 </t>
    </r>
    <r>
      <rPr>
        <b/>
        <sz val="11"/>
        <color rgb="FF0000FF"/>
        <rFont val="Calibri"/>
        <family val="2"/>
      </rPr>
      <t>Å †</t>
    </r>
  </si>
  <si>
    <r>
      <t>Cameca</t>
    </r>
    <r>
      <rPr>
        <sz val="11"/>
        <color rgb="FF0000FF"/>
        <rFont val="Calibri"/>
        <family val="2"/>
      </rPr>
      <t xml:space="preserve"> (TAP)</t>
    </r>
  </si>
  <si>
    <r>
      <t>10</t>
    </r>
    <r>
      <rPr>
        <vertAlign val="superscript"/>
        <sz val="11"/>
        <color rgb="FF0000FF"/>
        <rFont val="Calibri"/>
        <family val="2"/>
        <scheme val="minor"/>
      </rPr>
      <t>5</t>
    </r>
    <r>
      <rPr>
        <sz val="11"/>
        <color rgb="FF0000FF"/>
        <rFont val="Calibri"/>
        <family val="2"/>
        <scheme val="minor"/>
      </rPr>
      <t xml:space="preserve"> sin</t>
    </r>
    <r>
      <rPr>
        <sz val="11"/>
        <color rgb="FF0000FF"/>
        <rFont val="Calibri"/>
        <family val="2"/>
      </rPr>
      <t>θ</t>
    </r>
  </si>
  <si>
    <r>
      <t xml:space="preserve">Bragg angle </t>
    </r>
    <r>
      <rPr>
        <sz val="11"/>
        <color rgb="FF0000FF"/>
        <rFont val="Calibri"/>
        <family val="2"/>
      </rPr>
      <t>θ</t>
    </r>
  </si>
  <si>
    <r>
      <t xml:space="preserve">degrees, </t>
    </r>
    <r>
      <rPr>
        <sz val="11"/>
        <color rgb="FF0000FF"/>
        <rFont val="Calibri"/>
        <family val="2"/>
      </rPr>
      <t>°</t>
    </r>
  </si>
  <si>
    <r>
      <rPr>
        <b/>
        <sz val="11"/>
        <color rgb="FF0000FF"/>
        <rFont val="Calibri"/>
        <family val="2"/>
        <scheme val="minor"/>
      </rPr>
      <t>†</t>
    </r>
    <r>
      <rPr>
        <sz val="11"/>
        <color rgb="FF0000FF"/>
        <rFont val="Calibri"/>
        <family val="2"/>
        <scheme val="minor"/>
      </rPr>
      <t xml:space="preserve"> Doyle et al. 1979. Atomic Data and Nuclear Data Tables 24, 373-493.</t>
    </r>
  </si>
  <si>
    <r>
      <t>for LDEB diffractor     2</t>
    </r>
    <r>
      <rPr>
        <b/>
        <i/>
        <sz val="11"/>
        <color theme="1"/>
        <rFont val="Calibri"/>
        <family val="2"/>
        <scheme val="minor"/>
      </rPr>
      <t>d</t>
    </r>
    <r>
      <rPr>
        <b/>
        <sz val="11"/>
        <color theme="1"/>
        <rFont val="Calibri"/>
        <family val="2"/>
        <scheme val="minor"/>
      </rPr>
      <t xml:space="preserve"> ~145 Å </t>
    </r>
  </si>
  <si>
    <r>
      <t xml:space="preserve">Enter only </t>
    </r>
    <r>
      <rPr>
        <b/>
        <sz val="11"/>
        <color theme="1"/>
        <rFont val="Calibri"/>
        <family val="2"/>
        <scheme val="minor"/>
      </rPr>
      <t>one value in each set</t>
    </r>
    <r>
      <rPr>
        <sz val="11"/>
        <color theme="1"/>
        <rFont val="Calibri"/>
        <family val="2"/>
        <scheme val="minor"/>
      </rPr>
      <t>. Results are rounded and are not corrected for refraction.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</si>
</sst>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71" formatCode="0.00000"/>
    <numFmt numFmtId="172" formatCode="0.000"/>
    <numFmt numFmtId="173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</font>
    <font>
      <vertAlign val="superscript"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quotePrefix="1" applyNumberForma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NumberForma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quotePrefix="1" applyNumberFormat="1" applyFill="1" applyBorder="1" applyAlignment="1">
      <alignment horizontal="center"/>
    </xf>
    <xf numFmtId="164" fontId="0" fillId="0" borderId="0" xfId="0" applyNumberFormat="1" applyBorder="1"/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top" wrapText="1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171" fontId="0" fillId="0" borderId="0" xfId="0" applyNumberFormat="1" applyBorder="1" applyAlignment="1">
      <alignment horizontal="center"/>
    </xf>
    <xf numFmtId="172" fontId="0" fillId="0" borderId="0" xfId="0" applyNumberFormat="1" applyBorder="1" applyAlignment="1">
      <alignment horizontal="center"/>
    </xf>
    <xf numFmtId="173" fontId="0" fillId="0" borderId="0" xfId="0" applyNumberFormat="1" applyBorder="1" applyAlignment="1">
      <alignment horizontal="center"/>
    </xf>
    <xf numFmtId="172" fontId="0" fillId="0" borderId="0" xfId="0" applyNumberFormat="1" applyBorder="1"/>
    <xf numFmtId="0" fontId="1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0" borderId="1" xfId="0" applyFont="1" applyBorder="1"/>
    <xf numFmtId="0" fontId="11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0" xfId="0" quotePrefix="1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0" xfId="0" applyFont="1" applyFill="1" applyBorder="1"/>
    <xf numFmtId="0" fontId="8" fillId="0" borderId="0" xfId="0" applyFont="1" applyBorder="1" applyAlignment="1">
      <alignment horizontal="center"/>
    </xf>
    <xf numFmtId="0" fontId="0" fillId="0" borderId="0" xfId="0" applyFont="1" applyBorder="1"/>
  </cellXfs>
  <cellStyles count="1">
    <cellStyle name="Normal" xfId="0" builtinId="0"/>
  </cellStyles>
  <dxfs count="1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00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="75" zoomScaleNormal="75" workbookViewId="0">
      <selection activeCell="D5" sqref="D5"/>
    </sheetView>
  </sheetViews>
  <sheetFormatPr defaultRowHeight="14.4" x14ac:dyDescent="0.3"/>
  <cols>
    <col min="1" max="1" width="15" style="15" customWidth="1"/>
    <col min="2" max="2" width="10.6640625" style="2" customWidth="1"/>
    <col min="3" max="3" width="10.33203125" style="7" customWidth="1"/>
    <col min="4" max="4" width="15.21875" style="3" customWidth="1"/>
    <col min="5" max="5" width="7.5546875" style="3" customWidth="1"/>
    <col min="6" max="7" width="12" style="4" customWidth="1"/>
    <col min="8" max="8" width="3.77734375" style="15" customWidth="1"/>
    <col min="9" max="9" width="19.88671875" style="15" customWidth="1"/>
    <col min="10" max="10" width="10.6640625" style="15" customWidth="1"/>
    <col min="11" max="11" width="10.33203125" style="15" customWidth="1"/>
    <col min="12" max="12" width="15.21875" style="15" customWidth="1"/>
    <col min="13" max="13" width="7.5546875" style="15" customWidth="1"/>
    <col min="14" max="15" width="12" style="15" customWidth="1"/>
    <col min="16" max="16" width="2.77734375" style="15" customWidth="1"/>
    <col min="17" max="17" width="8.88671875" style="15"/>
    <col min="18" max="18" width="12.88671875" style="15" customWidth="1"/>
    <col min="19" max="16384" width="8.88671875" style="15"/>
  </cols>
  <sheetData>
    <row r="1" spans="1:19" ht="15" thickBot="1" x14ac:dyDescent="0.35">
      <c r="A1" s="63" t="s">
        <v>51</v>
      </c>
      <c r="I1" s="14"/>
      <c r="J1" s="2"/>
      <c r="K1" s="7"/>
      <c r="L1" s="3"/>
      <c r="M1" s="3"/>
      <c r="N1" s="4"/>
      <c r="O1" s="4"/>
    </row>
    <row r="2" spans="1:19" ht="28.8" x14ac:dyDescent="0.3">
      <c r="A2" s="18" t="s">
        <v>24</v>
      </c>
      <c r="B2" s="19" t="s">
        <v>4</v>
      </c>
      <c r="C2" s="19" t="s">
        <v>15</v>
      </c>
      <c r="D2" s="20" t="s">
        <v>1</v>
      </c>
      <c r="E2" s="21" t="s">
        <v>23</v>
      </c>
      <c r="F2" s="22" t="s">
        <v>21</v>
      </c>
      <c r="G2" s="23" t="s">
        <v>22</v>
      </c>
      <c r="I2" s="18" t="s">
        <v>38</v>
      </c>
      <c r="J2" s="19" t="s">
        <v>4</v>
      </c>
      <c r="K2" s="19" t="s">
        <v>15</v>
      </c>
      <c r="L2" s="20" t="s">
        <v>1</v>
      </c>
      <c r="M2" s="21" t="s">
        <v>23</v>
      </c>
      <c r="N2" s="22" t="s">
        <v>21</v>
      </c>
      <c r="O2" s="23" t="s">
        <v>22</v>
      </c>
      <c r="Q2" s="29" t="s">
        <v>40</v>
      </c>
      <c r="R2" s="29" t="s">
        <v>42</v>
      </c>
      <c r="S2" s="39" t="s">
        <v>41</v>
      </c>
    </row>
    <row r="3" spans="1:19" x14ac:dyDescent="0.3">
      <c r="A3" s="1" t="s">
        <v>8</v>
      </c>
      <c r="B3" s="2" t="s">
        <v>2</v>
      </c>
      <c r="C3" s="16">
        <v>1.74</v>
      </c>
      <c r="D3" s="3" t="str">
        <f>IF(C7&gt;0,ROUND(12.39841984/C7,4),"")&amp;IF(C8&gt;0,ROUND(1.239841984/C8,4),"") &amp; IF(C3&gt;0,C3,"") &amp; IF(C4&gt;0,ROUND(12.39841984/(C4/(140/(25.756/2))),4),"") &amp;IF(C5&gt;0,ROUND(12.39841984/(C5*25.756/100000),4),"") &amp; IF(C6&gt;0,ROUND(12.39841984/(25.756*SIN(RADIANS(C6))),5),"")</f>
        <v>1.74</v>
      </c>
      <c r="E3" s="3">
        <v>4</v>
      </c>
      <c r="G3" s="5"/>
      <c r="I3" s="1" t="s">
        <v>8</v>
      </c>
      <c r="J3" s="2" t="s">
        <v>2</v>
      </c>
      <c r="K3" s="16">
        <v>0.67679999999999996</v>
      </c>
      <c r="L3" s="3" t="str">
        <f>IF(K7&gt;0,ROUND(12.39841984/K7,4),"")&amp;IF(K8&gt;0,ROUND(1.239841984/K8,4),"") &amp; IF(K3&gt;0,K3,"") &amp; IF(K4&gt;0,ROUND(12.39841984/(K4/(140/(60/2))),4),"") &amp;IF(K5&gt;0,ROUND(12.39841984/(K5*60/100000),4),"") &amp; IF(K6&gt;0,ROUND(12.39841984/(60*SIN(RADIANS(K6))),5),"")</f>
        <v>0.6768</v>
      </c>
      <c r="M3" s="3">
        <v>4</v>
      </c>
      <c r="N3" s="4"/>
      <c r="O3" s="5"/>
      <c r="Q3" s="2" t="s">
        <v>33</v>
      </c>
      <c r="R3" s="2">
        <v>0.18329999999999999</v>
      </c>
      <c r="S3" s="30">
        <f>12.39841984/R3</f>
        <v>67.640042771412993</v>
      </c>
    </row>
    <row r="4" spans="1:19" x14ac:dyDescent="0.3">
      <c r="A4" s="1" t="s">
        <v>9</v>
      </c>
      <c r="B4" s="2" t="s">
        <v>5</v>
      </c>
      <c r="C4" s="16"/>
      <c r="D4" s="3">
        <f>ABS(IF(C7&gt;0,ROUND(140*C7/(0.5*25.756),2),"") &amp; IF(C8&gt;0,ROUND(140*C8/(0.5*2.5756),2),"") &amp; IF(C3&gt;0,ROUND(12.39841984/C3*140/(0.5*25.756),2),"")  &amp;IF(C4&gt;0,C4,"") &amp;IF(C5&gt;0,ROUND((C5*25.756/100000)*140/(25.756/2),2),"") &amp; IF(C6&gt;0,ROUND(2*140*SIN(RADIANS(C6)),2),""))</f>
        <v>77.459999999999994</v>
      </c>
      <c r="E4" s="3">
        <v>2</v>
      </c>
      <c r="F4" s="4">
        <v>60</v>
      </c>
      <c r="G4" s="5">
        <v>260</v>
      </c>
      <c r="I4" s="1" t="s">
        <v>26</v>
      </c>
      <c r="J4" s="2" t="s">
        <v>5</v>
      </c>
      <c r="K4" s="16"/>
      <c r="L4" s="3">
        <f>ABS(IF(K7&gt;0,ROUND(140*K7/(0.5*60),2),"") &amp; IF(K8&gt;0,ROUND(140*K8/(0.5*2.5756),2),"") &amp; IF(K3&gt;0,ROUND(12.39841984/K3*140/(0.5*60),2),"")  &amp;IF(K4&gt;0,K4,"") &amp;IF(K5&gt;0,ROUND((K5*60/100000)*140/(60/2),2),"") &amp; IF(K6&gt;0,ROUND(2*140*SIN(RADIANS(K6)),2),""))</f>
        <v>85.49</v>
      </c>
      <c r="M4" s="3">
        <v>2</v>
      </c>
      <c r="N4" s="4">
        <v>60</v>
      </c>
      <c r="O4" s="5">
        <v>260</v>
      </c>
      <c r="Q4" s="2" t="s">
        <v>32</v>
      </c>
      <c r="R4" s="30">
        <v>0.27700000000000002</v>
      </c>
      <c r="S4" s="30">
        <f t="shared" ref="S4:S8" si="0">12.39841984/R4</f>
        <v>44.759638411552345</v>
      </c>
    </row>
    <row r="5" spans="1:19" ht="16.2" x14ac:dyDescent="0.3">
      <c r="A5" s="1" t="s">
        <v>10</v>
      </c>
      <c r="B5" s="2" t="s">
        <v>16</v>
      </c>
      <c r="C5" s="16"/>
      <c r="D5" s="13">
        <f>ABS(IF(C7&gt;0,ROUND(100000*C7/25.756,0),"") &amp; IF(C8&gt;0,ROUND(100000*C8/2.5756,0),"") &amp; IF(C3&gt;0, ROUND(12.39841984/C3*100000/25.756,0),"") &amp; IF(C4&gt;0, ROUND(C4/(140/(25.756/2))*100000/25.756,0),"") &amp; IF(C5&gt;0,C5,"")&amp;IF(C6&gt;0,ROUND(100000*SIN(RADIANS(C6)),0),""))</f>
        <v>27666</v>
      </c>
      <c r="E5" s="13">
        <v>0</v>
      </c>
      <c r="F5" s="4">
        <v>23000</v>
      </c>
      <c r="G5" s="6">
        <v>83000</v>
      </c>
      <c r="I5" s="1" t="s">
        <v>30</v>
      </c>
      <c r="J5" s="2" t="s">
        <v>16</v>
      </c>
      <c r="K5" s="16"/>
      <c r="L5" s="26">
        <f>ABS(IF(K7&gt;0,ROUND(100000*K7/60,0),"") &amp; IF(K8&gt;0,ROUND(100000*K8/2.5756,0),"") &amp; IF(K3&gt;0, ROUND(12.39841984/K3*100000/60,0),"") &amp; IF(K4&gt;0, ROUND(K4/(140/(60/2))*100000/60,0),"") &amp; IF(K5&gt;0,K5,"")&amp;IF(K6&gt;0,ROUND(100000*SIN(RADIANS(K6)),0),""))</f>
        <v>30532</v>
      </c>
      <c r="M5" s="13">
        <v>0</v>
      </c>
      <c r="N5" s="4">
        <v>23000</v>
      </c>
      <c r="O5" s="6">
        <v>83000</v>
      </c>
      <c r="Q5" s="2" t="s">
        <v>34</v>
      </c>
      <c r="R5" s="2">
        <v>0.39240000000000003</v>
      </c>
      <c r="S5" s="30">
        <f t="shared" si="0"/>
        <v>31.596380835881753</v>
      </c>
    </row>
    <row r="6" spans="1:19" x14ac:dyDescent="0.3">
      <c r="A6" s="1" t="s">
        <v>17</v>
      </c>
      <c r="B6" s="2" t="s">
        <v>18</v>
      </c>
      <c r="C6" s="16"/>
      <c r="D6" s="13">
        <f>ABS(IF(C7&gt;0,ROUND(DEGREES(ASIN(C7/25.756)),3),"") &amp; IF(C8&gt;0,ROUND(DEGREES(ASIN(C8/2.5756)),3),"") &amp; IF(C3&gt;0, ROUND(DEGREES(ASIN(12.39841984/C3/25.756)),3),"") &amp; IF(C4&gt;0, ROUND(DEGREES(ASIN(C4/(140/(25.756/2))/25.756)),3),"") &amp; IF(C5&gt;0,ROUND(DEGREES(ASIN(C5/100000)),3),"")&amp; IF(C6&gt;0,C6,""))</f>
        <v>16.061</v>
      </c>
      <c r="E6" s="13">
        <v>3</v>
      </c>
      <c r="G6" s="6"/>
      <c r="I6" s="1" t="s">
        <v>17</v>
      </c>
      <c r="J6" s="2" t="s">
        <v>18</v>
      </c>
      <c r="K6" s="16"/>
      <c r="L6" s="13">
        <f>ABS(IF(K7&gt;0,ROUND(DEGREES(ASIN(K7/60)),3),"") &amp; IF(K8&gt;0,ROUND(DEGREES(ASIN(K8/2.5756)),3),"") &amp; IF(K3&gt;0, ROUND(DEGREES(ASIN(12.39841984/K3/60)),3),"") &amp; IF(K4&gt;0, ROUND(DEGREES(ASIN(K4/(140/(60/2))/60)),3),"") &amp; IF(K5&gt;0,ROUND(DEGREES(ASIN(K5/100000)),3),"")&amp; IF(K6&gt;0,K6,""))</f>
        <v>17.777000000000001</v>
      </c>
      <c r="M6" s="13">
        <v>3</v>
      </c>
      <c r="N6" s="4"/>
      <c r="O6" s="6"/>
      <c r="Q6" s="31" t="s">
        <v>35</v>
      </c>
      <c r="R6" s="2">
        <v>0.52490000000000003</v>
      </c>
      <c r="S6" s="30">
        <f t="shared" si="0"/>
        <v>23.620536940369593</v>
      </c>
    </row>
    <row r="7" spans="1:19" x14ac:dyDescent="0.3">
      <c r="A7" s="1" t="s">
        <v>6</v>
      </c>
      <c r="B7" s="2" t="s">
        <v>7</v>
      </c>
      <c r="C7" s="17"/>
      <c r="D7" s="3" t="str">
        <f>IF(C7&gt;0,C7,"")&amp;IF(C8&gt;0,C8*10,"")&amp;IF(C3&gt;0,ROUND(12.39841984/C3,4),"")&amp;IF(C4&gt;0,ROUND(C4/(140/(25.756/2)),4),"")&amp;IF(C5&gt;0,ROUND(C5*25.756/100000,4),"")&amp;IF(C6&gt;0,ROUND(25.756*SIN(RADIANS(C6)),4),"")</f>
        <v>7.1255</v>
      </c>
      <c r="E7" s="3">
        <v>4</v>
      </c>
      <c r="G7" s="5"/>
      <c r="I7" s="1" t="s">
        <v>6</v>
      </c>
      <c r="J7" s="2" t="s">
        <v>7</v>
      </c>
      <c r="K7" s="17"/>
      <c r="L7" s="3" t="str">
        <f>IF(K7&gt;0,K7,"")&amp;IF(K8&gt;0,K8*10,"")&amp;IF(K3&gt;0,ROUND(12.39841984/K3,4),"")&amp;IF(K4&gt;0,ROUND(K4/(140/(60/2)),4),"")&amp;IF(K5&gt;0,ROUND(K5*60/100000,4),"")&amp;IF(K6&gt;0,ROUND(60*SIN(RADIANS(K6)),4),"")</f>
        <v>18.3192</v>
      </c>
      <c r="M7" s="3">
        <v>4</v>
      </c>
      <c r="N7" s="4"/>
      <c r="O7" s="5"/>
      <c r="Q7" s="31" t="s">
        <v>36</v>
      </c>
      <c r="R7" s="31">
        <v>0.67679999999999996</v>
      </c>
      <c r="S7" s="30">
        <f t="shared" si="0"/>
        <v>18.319178250591019</v>
      </c>
    </row>
    <row r="8" spans="1:19" ht="15" thickBot="1" x14ac:dyDescent="0.35">
      <c r="A8" s="8" t="s">
        <v>6</v>
      </c>
      <c r="B8" s="9" t="s">
        <v>3</v>
      </c>
      <c r="C8" s="24"/>
      <c r="D8" s="10" t="str">
        <f>IF(C7&gt;0,C7/10,"")&amp;IF(C8&gt;0,C8,"")&amp;  IF(C3&gt;0,ROUND(1.239841984/C3,5),"") &amp; IF(C4&gt;0,ROUND(C4/(140/(2.5756/2)),5),"")&amp; IF(C5&gt;0,ROUND(C5*2.5756/100000,5),"")&amp; IF(C6&gt;0,ROUND(2.5756*SIN(RADIANS(C6)),5),"")</f>
        <v>0.71255</v>
      </c>
      <c r="E8" s="10">
        <v>5</v>
      </c>
      <c r="F8" s="11"/>
      <c r="G8" s="12"/>
      <c r="I8" s="8" t="s">
        <v>6</v>
      </c>
      <c r="J8" s="9" t="s">
        <v>3</v>
      </c>
      <c r="K8" s="24"/>
      <c r="L8" s="10" t="str">
        <f>IF(K7&gt;0,K7/10,"")&amp;IF(K8&gt;0,K8,"")&amp;  IF(K3&gt;0,ROUND(1.239841984/K3,5),"") &amp; IF(K4&gt;0,ROUND(K4/(140/(2.5756/2)),5),"")&amp; IF(K5&gt;0,ROUND(K5*2.5756/100000,5),"")&amp; IF(K6&gt;0,ROUND(2.5756*SIN(RADIANS(K6)),5),"")</f>
        <v>1.83192</v>
      </c>
      <c r="M8" s="10">
        <v>5</v>
      </c>
      <c r="N8" s="11"/>
      <c r="O8" s="12"/>
      <c r="Q8" s="31" t="s">
        <v>37</v>
      </c>
      <c r="R8" s="31">
        <v>0.84860000000000002</v>
      </c>
      <c r="S8" s="30">
        <f t="shared" si="0"/>
        <v>14.610440537355645</v>
      </c>
    </row>
    <row r="9" spans="1:19" ht="15" thickBot="1" x14ac:dyDescent="0.35">
      <c r="A9" s="15" t="s">
        <v>25</v>
      </c>
      <c r="J9" s="2"/>
      <c r="K9" s="7"/>
      <c r="L9" s="3"/>
      <c r="M9" s="3"/>
      <c r="N9" s="4"/>
      <c r="O9" s="4"/>
      <c r="Q9" s="15" t="s">
        <v>43</v>
      </c>
      <c r="R9" s="7"/>
      <c r="S9" s="7"/>
    </row>
    <row r="10" spans="1:19" ht="28.8" x14ac:dyDescent="0.3">
      <c r="A10" s="18" t="s">
        <v>19</v>
      </c>
      <c r="B10" s="19" t="s">
        <v>4</v>
      </c>
      <c r="C10" s="19" t="s">
        <v>0</v>
      </c>
      <c r="D10" s="20" t="s">
        <v>1</v>
      </c>
      <c r="E10" s="21" t="s">
        <v>23</v>
      </c>
      <c r="F10" s="22" t="s">
        <v>21</v>
      </c>
      <c r="G10" s="23" t="s">
        <v>22</v>
      </c>
      <c r="I10" s="18" t="s">
        <v>39</v>
      </c>
      <c r="J10" s="19" t="s">
        <v>4</v>
      </c>
      <c r="K10" s="19" t="s">
        <v>15</v>
      </c>
      <c r="L10" s="20" t="s">
        <v>1</v>
      </c>
      <c r="M10" s="21" t="s">
        <v>23</v>
      </c>
      <c r="N10" s="22" t="s">
        <v>21</v>
      </c>
      <c r="O10" s="23" t="s">
        <v>22</v>
      </c>
      <c r="R10" s="32"/>
      <c r="S10" s="33"/>
    </row>
    <row r="11" spans="1:19" x14ac:dyDescent="0.3">
      <c r="A11" s="1" t="s">
        <v>8</v>
      </c>
      <c r="B11" s="2" t="s">
        <v>2</v>
      </c>
      <c r="C11" s="16"/>
      <c r="D11" s="3" t="str">
        <f>IF(C15&gt;0,ROUND(12.39841984/C15,4),"")&amp;IF(C16&gt;0,ROUND(1.239841984/C16,4),"") &amp; IF(C11&gt;0,C11,"") &amp; IF(C12&gt;0,ROUND(12.39841984/(C12/(140/(8.742/2))),4),"") &amp;IF(C13&gt;0,ROUND(12.39841984/(C13*8.742/100000),4),"") &amp; IF(C14&gt;0,ROUND(12.39841984/(8.742*SIN(RADIANS(C14))),5),"")</f>
        <v>3.6917</v>
      </c>
      <c r="E11" s="3">
        <v>4</v>
      </c>
      <c r="G11" s="5"/>
      <c r="I11" s="1" t="s">
        <v>8</v>
      </c>
      <c r="J11" s="2" t="s">
        <v>2</v>
      </c>
      <c r="K11" s="16">
        <v>0.27700000000000002</v>
      </c>
      <c r="L11" s="3" t="str">
        <f>IF(K15&gt;0,ROUND(12.39841984/K15,4),"")&amp;IF(K16&gt;0,ROUND(1.239841984/K16,4),"") &amp; IF(K11&gt;0,K11,"") &amp; IF(K12&gt;0,ROUND(12.39841984/(K12/(140/(100/2))),4),"") &amp;IF(K13&gt;0,ROUND(12.39841984/(K13*100/100000),4),"") &amp; IF(K14&gt;0,ROUND(12.39841984/(100*SIN(RADIANS(K14))),5),"")</f>
        <v>0.277</v>
      </c>
      <c r="M11" s="3">
        <v>4</v>
      </c>
      <c r="N11" s="4"/>
      <c r="O11" s="5"/>
    </row>
    <row r="12" spans="1:19" x14ac:dyDescent="0.3">
      <c r="A12" s="1" t="s">
        <v>11</v>
      </c>
      <c r="B12" s="2" t="s">
        <v>5</v>
      </c>
      <c r="C12" s="16">
        <v>107.57</v>
      </c>
      <c r="D12" s="3">
        <f>ABS(IF(C15&gt;0,ROUND(140*C15/(0.5*8.742),2),"") &amp; IF(C16&gt;0,ROUND(140*C16/(0.5*0.8742),2),"") &amp; IF(C11&gt;0,ROUND(12.39841984/C11*140/(0.5*8.742),2),"")  &amp;IF(C12&gt;0,C12,"") &amp;IF(C13&gt;0,ROUND((C13*8.742/100000)*140/(8.742/2),2),"") &amp; IF(C14&gt;0,ROUND(2*140*SIN(RADIANS(C14)),2),""))</f>
        <v>107.57</v>
      </c>
      <c r="E12" s="3">
        <v>2</v>
      </c>
      <c r="F12" s="4">
        <v>60</v>
      </c>
      <c r="G12" s="5">
        <v>260</v>
      </c>
      <c r="I12" s="1" t="s">
        <v>27</v>
      </c>
      <c r="J12" s="2" t="s">
        <v>5</v>
      </c>
      <c r="K12" s="16"/>
      <c r="L12" s="3">
        <f>ABS(IF(K15&gt;0,ROUND(140*K15/(0.5*100),2),"") &amp; IF(K16&gt;0,ROUND(140*K16/(0.5*2.5756),2),"") &amp; IF(K11&gt;0,ROUND(12.39841984/K11*140/(0.5*100),2),"")  &amp;IF(K12&gt;0,K12,"") &amp;IF(K13&gt;0,ROUND((K13*100/100000)*140/(100/2),2),"") &amp; IF(K14&gt;0,ROUND(2*140*SIN(RADIANS(K14)),2),""))</f>
        <v>125.33</v>
      </c>
      <c r="M12" s="3">
        <v>2</v>
      </c>
      <c r="N12" s="4">
        <v>60</v>
      </c>
      <c r="O12" s="5">
        <v>260</v>
      </c>
      <c r="S12" s="25"/>
    </row>
    <row r="13" spans="1:19" ht="16.2" x14ac:dyDescent="0.3">
      <c r="A13" s="1" t="s">
        <v>12</v>
      </c>
      <c r="B13" s="2" t="s">
        <v>16</v>
      </c>
      <c r="C13" s="16"/>
      <c r="D13" s="13">
        <f>ABS(IF(C15&gt;0,ROUND(100000*C15/8.742,0),"") &amp; IF(C16&gt;0,ROUND(100000*C16/0.8742,0),"") &amp; IF(C11&gt;0, ROUND(12.39841984/C11*100000/8.742,0),"") &amp; IF(C12&gt;0, ROUND(C12/(140/(8.742/2))*100000/8.742,0),"") &amp; IF(C13&gt;0,C13,"")&amp;IF(C14&gt;0,ROUND(100000*SIN(RADIANS(C14)),0),""))</f>
        <v>38418</v>
      </c>
      <c r="E13" s="13">
        <v>0</v>
      </c>
      <c r="F13" s="4">
        <v>23000</v>
      </c>
      <c r="G13" s="6">
        <v>83000</v>
      </c>
      <c r="I13" s="1" t="s">
        <v>29</v>
      </c>
      <c r="J13" s="2" t="s">
        <v>16</v>
      </c>
      <c r="K13" s="16"/>
      <c r="L13" s="13">
        <f>ABS(IF(K15&gt;0,ROUND(100000*K15/100,0),"") &amp; IF(K16&gt;0,ROUND(100000*K16/2.5756,0),"") &amp; IF(K11&gt;0, ROUND(12.39841984/K11*100000/100,0),"") &amp; IF(K12&gt;0, ROUND(K12/(140/(100/2))*100000/100,0),"") &amp; IF(K13&gt;0,K13,"")&amp;IF(K14&gt;0,ROUND(100000*SIN(RADIANS(K14)),0),""))</f>
        <v>44760</v>
      </c>
      <c r="M13" s="13">
        <v>0</v>
      </c>
      <c r="N13" s="4">
        <v>23000</v>
      </c>
      <c r="O13" s="6">
        <v>83000</v>
      </c>
      <c r="S13" s="25"/>
    </row>
    <row r="14" spans="1:19" x14ac:dyDescent="0.3">
      <c r="A14" s="1" t="s">
        <v>17</v>
      </c>
      <c r="B14" s="2" t="s">
        <v>18</v>
      </c>
      <c r="C14" s="16"/>
      <c r="D14" s="13">
        <f>ABS(IF(C15&gt;0,ROUND(DEGREES(ASIN(C15/8.742)),3),"") &amp; IF(C16&gt;0,ROUND(DEGREES(ASIN(C16/0.8742)),3),"") &amp; IF(C11&gt;0, ROUND(DEGREES(ASIN(12.39841984/C11/8.742)),3),"") &amp; IF(C12&gt;0, ROUND(DEGREES(ASIN(C12/(140/(8.742/2))/8.742)),3),"") &amp; IF(C13&gt;0,ROUND(DEGREES(ASIN(C13/100000)),3),"")&amp; IF(C14&gt;0,C14,""))</f>
        <v>22.593</v>
      </c>
      <c r="E14" s="13">
        <v>3</v>
      </c>
      <c r="G14" s="6"/>
      <c r="I14" s="1" t="s">
        <v>17</v>
      </c>
      <c r="J14" s="2" t="s">
        <v>18</v>
      </c>
      <c r="K14" s="16"/>
      <c r="L14" s="13">
        <f>ABS(IF(K15&gt;0,ROUND(DEGREES(ASIN(K15/100)),3),"") &amp; IF(K16&gt;0,ROUND(DEGREES(ASIN(K16/2.5756)),3),"") &amp; IF(K11&gt;0, ROUND(DEGREES(ASIN(12.39841984/K11/100)),3),"") &amp; IF(K12&gt;0, ROUND(DEGREES(ASIN(K12/(140/(100/2))/100)),3),"") &amp; IF(K13&gt;0,ROUND(DEGREES(ASIN(K13/100000)),3),"")&amp; IF(K14&gt;0,K14,""))</f>
        <v>26.59</v>
      </c>
      <c r="M14" s="13">
        <v>3</v>
      </c>
      <c r="N14" s="4"/>
      <c r="O14" s="6"/>
    </row>
    <row r="15" spans="1:19" x14ac:dyDescent="0.3">
      <c r="A15" s="1" t="s">
        <v>6</v>
      </c>
      <c r="B15" s="2" t="s">
        <v>7</v>
      </c>
      <c r="C15" s="17"/>
      <c r="D15" s="3" t="str">
        <f>IF(C15&gt;0,C15,"")&amp;IF(C16&gt;0,C16*10,"")&amp;IF(C11&gt;0,ROUND(12.39841984/C11,4),"")&amp;IF(C12&gt;0,ROUND(C12/(140/(8.742/2)),4),"")&amp;IF(C13&gt;0,ROUND(C13*8.742/100000,4),"")&amp;IF(C14&gt;0,ROUND(8.742*SIN(RADIANS(C14)),4),"")</f>
        <v>3.3585</v>
      </c>
      <c r="E15" s="3">
        <v>4</v>
      </c>
      <c r="G15" s="5"/>
      <c r="I15" s="1" t="s">
        <v>6</v>
      </c>
      <c r="J15" s="2" t="s">
        <v>7</v>
      </c>
      <c r="K15" s="17"/>
      <c r="L15" s="3" t="str">
        <f>IF(K15&gt;0,K15,"")&amp;IF(K16&gt;0,K16*10,"")&amp;IF(K11&gt;0,ROUND(12.39841984/K11,4),"")&amp;IF(K12&gt;0,ROUND(K12/(140/(100/2)),4),"")&amp;IF(K13&gt;0,ROUND(K13*100/100000,4),"")&amp;IF(K14&gt;0,ROUND(100*SIN(RADIANS(K14)),4),"")</f>
        <v>44.7596</v>
      </c>
      <c r="M15" s="3">
        <v>4</v>
      </c>
      <c r="N15" s="4"/>
      <c r="O15" s="5"/>
      <c r="R15" s="25"/>
      <c r="S15" s="25"/>
    </row>
    <row r="16" spans="1:19" ht="15" thickBot="1" x14ac:dyDescent="0.35">
      <c r="A16" s="8" t="s">
        <v>6</v>
      </c>
      <c r="B16" s="9" t="s">
        <v>3</v>
      </c>
      <c r="C16" s="24"/>
      <c r="D16" s="10" t="str">
        <f>IF(C15&gt;0,C15/10,"")&amp;IF(C16&gt;0,C16,"")&amp;  IF(C11&gt;0,ROUND(1.239841984/C11,5),"") &amp; IF(C12&gt;0,ROUND(C12/(140/(0.8742/2)),5),"")&amp; IF(C13&gt;0,ROUND(C13*0.8742/100000,5),"")&amp; IF(C14&gt;0,ROUND(0.8742*SIN(RADIANS(C14)),5),"")</f>
        <v>0.33585</v>
      </c>
      <c r="E16" s="10">
        <v>5</v>
      </c>
      <c r="F16" s="11"/>
      <c r="G16" s="12"/>
      <c r="I16" s="8" t="s">
        <v>6</v>
      </c>
      <c r="J16" s="9" t="s">
        <v>3</v>
      </c>
      <c r="K16" s="24"/>
      <c r="L16" s="10" t="str">
        <f>IF(K15&gt;0,K15/10,"")&amp;IF(K16&gt;0,K16,"")&amp;  IF(K11&gt;0,ROUND(1.239841984/K11,5),"") &amp; IF(K12&gt;0,ROUND(K12/(140/(2.5756/2)),5),"")&amp; IF(K13&gt;0,ROUND(K13*2.5756/100000,5),"")&amp; IF(K14&gt;0,ROUND(2.5756*SIN(RADIANS(K14)),5),"")</f>
        <v>4.47596</v>
      </c>
      <c r="M16" s="10">
        <v>5</v>
      </c>
      <c r="N16" s="11"/>
      <c r="O16" s="12"/>
      <c r="R16" s="25"/>
      <c r="S16" s="25"/>
    </row>
    <row r="17" spans="1:19" ht="15" thickBot="1" x14ac:dyDescent="0.35">
      <c r="J17" s="2"/>
      <c r="K17" s="7"/>
      <c r="L17" s="3"/>
      <c r="M17" s="3"/>
      <c r="N17" s="4"/>
      <c r="O17" s="4"/>
      <c r="R17" s="25"/>
      <c r="S17" s="25"/>
    </row>
    <row r="18" spans="1:19" ht="28.8" x14ac:dyDescent="0.3">
      <c r="A18" s="18" t="s">
        <v>20</v>
      </c>
      <c r="B18" s="19" t="s">
        <v>4</v>
      </c>
      <c r="C18" s="19" t="s">
        <v>0</v>
      </c>
      <c r="D18" s="20" t="s">
        <v>1</v>
      </c>
      <c r="E18" s="21" t="s">
        <v>23</v>
      </c>
      <c r="F18" s="22" t="s">
        <v>21</v>
      </c>
      <c r="G18" s="23" t="s">
        <v>22</v>
      </c>
      <c r="I18" s="18" t="s">
        <v>50</v>
      </c>
      <c r="J18" s="19" t="s">
        <v>4</v>
      </c>
      <c r="K18" s="19" t="s">
        <v>15</v>
      </c>
      <c r="L18" s="20" t="s">
        <v>1</v>
      </c>
      <c r="M18" s="21" t="s">
        <v>23</v>
      </c>
      <c r="N18" s="22" t="s">
        <v>21</v>
      </c>
      <c r="O18" s="23" t="s">
        <v>22</v>
      </c>
      <c r="R18" s="25"/>
      <c r="S18" s="25"/>
    </row>
    <row r="19" spans="1:19" x14ac:dyDescent="0.3">
      <c r="A19" s="1" t="s">
        <v>8</v>
      </c>
      <c r="B19" s="2" t="s">
        <v>2</v>
      </c>
      <c r="C19" s="16"/>
      <c r="D19" s="3" t="str">
        <f>IF(C23&gt;0,ROUND(12.39841984/C23,4),"")&amp;IF(C24&gt;0,ROUND(1.239841984/C24,4),"") &amp; IF(C19&gt;0,C19,"") &amp; IF(C20&gt;0,ROUND(12.39841984/(C20/(140/(4.0267/2))),4),"") &amp;IF(C21&gt;0,ROUND(12.39841984/(C21*4.0267/100000),4),"") &amp; IF(C22&gt;0,ROUND(12.39841984/(4.0267*SIN(RADIANS(C22))),5),"")</f>
        <v>6.4034</v>
      </c>
      <c r="E19" s="3">
        <v>4</v>
      </c>
      <c r="G19" s="5"/>
      <c r="I19" s="1" t="s">
        <v>8</v>
      </c>
      <c r="J19" s="2" t="s">
        <v>2</v>
      </c>
      <c r="K19" s="16">
        <v>0.18329999999999999</v>
      </c>
      <c r="L19" s="3" t="str">
        <f>IF(K22&gt;0,ROUND(12.39841984/K22,4),"")&amp;IF(K23&gt;0,ROUND(1.239841984/K23,4),"") &amp; IF(K19&gt;0,K19,"") &amp; IF(K20&gt;0,ROUND(12.39841984/(K20/(140/(145/2))),4),"")  &amp; IF(K21&gt;0,ROUND(12.39841984/(145*SIN(RADIANS(K21))),5),"")</f>
        <v>0.1833</v>
      </c>
      <c r="M19" s="3">
        <v>4</v>
      </c>
      <c r="N19" s="4"/>
      <c r="O19" s="5"/>
      <c r="R19" s="25"/>
      <c r="S19" s="25"/>
    </row>
    <row r="20" spans="1:19" x14ac:dyDescent="0.3">
      <c r="A20" s="1" t="s">
        <v>13</v>
      </c>
      <c r="B20" s="2" t="s">
        <v>5</v>
      </c>
      <c r="C20" s="16"/>
      <c r="D20" s="3">
        <f>ABS(IF(C23&gt;0,ROUND(140*C23/(0.5*4.0267),2),"") &amp; IF(C24&gt;0,ROUND(140*C24/(0.5*0.40267),2),"") &amp; IF(C19&gt;0,ROUND(12.39841984/C19*140/(0.5*4.0267),2),"")  &amp;IF(C20&gt;0,C20,"") &amp;IF(C21&gt;0,ROUND((C21*4.0267/100000)*140/(4.0267/2),2),"") &amp; IF(C22&gt;0,ROUND(2*140*SIN(RADIANS(C22)),2),""))</f>
        <v>134.63999999999999</v>
      </c>
      <c r="E20" s="3">
        <v>2</v>
      </c>
      <c r="F20" s="4">
        <v>60</v>
      </c>
      <c r="G20" s="5">
        <v>260</v>
      </c>
      <c r="I20" s="1" t="s">
        <v>28</v>
      </c>
      <c r="J20" s="2" t="s">
        <v>5</v>
      </c>
      <c r="K20" s="16"/>
      <c r="L20" s="3">
        <f>ABS(IF(K22&gt;0,ROUND(140*K22/(0.5*145),2),"") &amp; IF(K23&gt;0,ROUND(140*K23/(0.5*2.5756),2),"") &amp; IF(K19&gt;0,ROUND(12.39841984/K19*140/(0.5*145),2),"")  &amp;IF(K20&gt;0,K20,"")  &amp; IF(K21&gt;0,ROUND(2*140*SIN(RADIANS(K21)),2),""))</f>
        <v>130.62</v>
      </c>
      <c r="M20" s="3">
        <v>2</v>
      </c>
      <c r="N20" s="4">
        <v>60</v>
      </c>
      <c r="O20" s="5">
        <v>260</v>
      </c>
      <c r="R20" s="25"/>
      <c r="S20" s="25"/>
    </row>
    <row r="21" spans="1:19" ht="16.2" x14ac:dyDescent="0.3">
      <c r="A21" s="1" t="s">
        <v>14</v>
      </c>
      <c r="B21" s="2" t="s">
        <v>16</v>
      </c>
      <c r="C21" s="16">
        <v>48085</v>
      </c>
      <c r="D21" s="13">
        <f>ABS(IF(C23&gt;0,ROUND(100000*C23/4.0267,0),"") &amp; IF(C24&gt;0,ROUND(100000*C24/0.40267,0),"") &amp; IF(C19&gt;0, ROUND(12.39841984/C19*100000/4.0267,0),"") &amp; IF(C20&gt;0, ROUND(C20/(140/(4.0267/2))*100000/4.0267,0),"") &amp; IF(C21&gt;0,C21,"")&amp;IF(C22&gt;0,ROUND(100000*SIN(RADIANS(C22)),0),""))</f>
        <v>48085</v>
      </c>
      <c r="E21" s="13">
        <v>0</v>
      </c>
      <c r="F21" s="4">
        <v>23000</v>
      </c>
      <c r="G21" s="6">
        <v>83000</v>
      </c>
      <c r="I21" s="1" t="s">
        <v>17</v>
      </c>
      <c r="J21" s="2" t="s">
        <v>18</v>
      </c>
      <c r="K21" s="16"/>
      <c r="L21" s="13">
        <f>ABS(IF(K22&gt;0,ROUND(DEGREES(ASIN(K22/145)),3),"") &amp; IF(K23&gt;0,ROUND(DEGREES(ASIN(K23/2.5756)),3),"") &amp; IF(K19&gt;0, ROUND(DEGREES(ASIN(12.39841984/K19/145)),3),"") &amp; IF(K20&gt;0, ROUND(DEGREES(ASIN(K20/(140/(145/2))/145)),3),"") &amp; IF(K21&gt;0,K21,""))</f>
        <v>27.806000000000001</v>
      </c>
      <c r="M21" s="13">
        <v>3</v>
      </c>
      <c r="N21" s="4"/>
      <c r="O21" s="6"/>
      <c r="S21" s="25"/>
    </row>
    <row r="22" spans="1:19" x14ac:dyDescent="0.3">
      <c r="A22" s="1" t="s">
        <v>17</v>
      </c>
      <c r="B22" s="2" t="s">
        <v>18</v>
      </c>
      <c r="C22" s="16"/>
      <c r="D22" s="13">
        <f>ABS(IF(C23&gt;0,ROUND(DEGREES(ASIN(C23/4.0267)),3),"") &amp; IF(C24&gt;0,ROUND(DEGREES(ASIN(C24/0.40267)),3),"") &amp; IF(C19&gt;0, ROUND(DEGREES(ASIN(12.39841984/C19/4.0267)),3),"") &amp; IF(C20&gt;0, ROUND(DEGREES(ASIN(C20/(140/(4.0267/2))/4.0267)),3),"") &amp; IF(C21&gt;0,ROUND(DEGREES(ASIN(C21/100000)),3),"")&amp; IF(C22&gt;0,C22,""))</f>
        <v>28.741</v>
      </c>
      <c r="E22" s="13">
        <v>3</v>
      </c>
      <c r="G22" s="6"/>
      <c r="I22" s="1" t="s">
        <v>6</v>
      </c>
      <c r="J22" s="2" t="s">
        <v>7</v>
      </c>
      <c r="K22" s="17"/>
      <c r="L22" s="3" t="str">
        <f>IF(K22&gt;0,K22,"")&amp;IF(K23&gt;0,K23*10,"")&amp;IF(K19&gt;0,ROUND(12.39841984/K19,4),"")&amp;IF(K20&gt;0,ROUND(K20/(140/(145/2)),4),"")&amp;IF(K21&gt;0,ROUND(145*SIN(RADIANS(K21)),4),"")</f>
        <v>67.64</v>
      </c>
      <c r="M22" s="3">
        <v>4</v>
      </c>
      <c r="N22" s="4"/>
      <c r="O22" s="5"/>
      <c r="R22" s="38"/>
      <c r="S22" s="25"/>
    </row>
    <row r="23" spans="1:19" ht="15" thickBot="1" x14ac:dyDescent="0.35">
      <c r="A23" s="1" t="s">
        <v>6</v>
      </c>
      <c r="B23" s="2" t="s">
        <v>7</v>
      </c>
      <c r="C23" s="17"/>
      <c r="D23" s="3" t="str">
        <f>IF(C23&gt;0,C23,"")&amp;IF(C24&gt;0,C24*10,"")&amp;IF(C19&gt;0,ROUND(12.39841984/C19,4),"")&amp;IF(C20&gt;0,ROUND(C20/(140/(4.0267/2)),4),"")&amp;IF(C21&gt;0,ROUND(C21*4.0267/100000,4),"")&amp;IF(C22&gt;0,ROUND(4.0267*SIN(RADIANS(C22)),4),"")</f>
        <v>1.9362</v>
      </c>
      <c r="E23" s="3">
        <v>4</v>
      </c>
      <c r="G23" s="5"/>
      <c r="I23" s="8" t="s">
        <v>6</v>
      </c>
      <c r="J23" s="9" t="s">
        <v>3</v>
      </c>
      <c r="K23" s="24"/>
      <c r="L23" s="10" t="str">
        <f>IF(K22&gt;0,K22/10,"")&amp;IF(K23&gt;0,K23,"")&amp;  IF(K19&gt;0,ROUND(1.239841984/K19,5),"") &amp; IF(K20&gt;0,ROUND(K20/(140/(2.5756/2)),5),"")&amp; IF(K21&gt;0,ROUND(2.5756*SIN(RADIANS(K21)),5),"")</f>
        <v>6.764</v>
      </c>
      <c r="M23" s="10">
        <v>5</v>
      </c>
      <c r="N23" s="11"/>
      <c r="O23" s="12"/>
      <c r="R23" s="38"/>
      <c r="S23" s="25"/>
    </row>
    <row r="24" spans="1:19" ht="15" thickBot="1" x14ac:dyDescent="0.35">
      <c r="A24" s="8" t="s">
        <v>6</v>
      </c>
      <c r="B24" s="9" t="s">
        <v>3</v>
      </c>
      <c r="C24" s="24"/>
      <c r="D24" s="10" t="str">
        <f>IF(C23&gt;0,C23/10,"")&amp;IF(C24&gt;0,C24,"")&amp;  IF(C19&gt;0,ROUND(1.239841984/C19,5),"") &amp; IF(C20&gt;0,ROUND(C20/(140/(0.40267/2)),5),"")&amp; IF(C21&gt;0,ROUND(C21*0.40267/100000,5),"")&amp; IF(C22&gt;0,ROUND(0.40267*SIN(RADIANS(C22)),5),"")</f>
        <v>0.19362</v>
      </c>
      <c r="E24" s="10">
        <v>5</v>
      </c>
      <c r="F24" s="11"/>
      <c r="G24" s="12"/>
      <c r="I24" s="15" t="s">
        <v>31</v>
      </c>
      <c r="J24" s="2"/>
      <c r="K24" s="7"/>
      <c r="L24" s="3"/>
      <c r="M24" s="3"/>
      <c r="N24" s="4"/>
      <c r="O24" s="4"/>
      <c r="R24" s="27"/>
      <c r="S24" s="25"/>
    </row>
    <row r="25" spans="1:19" ht="15" thickBot="1" x14ac:dyDescent="0.35"/>
    <row r="26" spans="1:19" ht="28.8" x14ac:dyDescent="0.3">
      <c r="A26" s="40" t="s">
        <v>44</v>
      </c>
      <c r="B26" s="41" t="s">
        <v>4</v>
      </c>
      <c r="C26" s="41" t="s">
        <v>15</v>
      </c>
      <c r="D26" s="42" t="s">
        <v>1</v>
      </c>
      <c r="E26" s="43" t="s">
        <v>23</v>
      </c>
      <c r="F26" s="44" t="s">
        <v>21</v>
      </c>
      <c r="G26" s="45" t="s">
        <v>22</v>
      </c>
      <c r="L26" s="36"/>
      <c r="M26" s="35"/>
      <c r="N26" s="2"/>
      <c r="O26" s="2"/>
      <c r="P26" s="2"/>
      <c r="Q26" s="2"/>
      <c r="R26" s="2"/>
    </row>
    <row r="27" spans="1:19" x14ac:dyDescent="0.3">
      <c r="A27" s="46" t="s">
        <v>8</v>
      </c>
      <c r="B27" s="47" t="s">
        <v>2</v>
      </c>
      <c r="C27" s="48">
        <v>1.74</v>
      </c>
      <c r="D27" s="49" t="str">
        <f>IF(C31&gt;0,ROUND(12.39841984/C31,4),"")&amp;IF(C32&gt;0,ROUND(1.239841984/C32,4),"") &amp; IF(C27&gt;0,C27,"") &amp; IF(C28&gt;0,ROUND(12.39841984/(C28/(140/(25.745/2))),4),"") &amp;IF(C29&gt;0,ROUND(12.39841984/(C29*25.745/100000),4),"") &amp; IF(C30&gt;0,ROUND(12.39841984/(25.745*SIN(RADIANS(C30))),5),"")</f>
        <v>1.74</v>
      </c>
      <c r="E27" s="49">
        <v>4</v>
      </c>
      <c r="F27" s="50"/>
      <c r="G27" s="51"/>
      <c r="L27" s="37"/>
      <c r="M27" s="35"/>
      <c r="N27" s="2"/>
      <c r="O27" s="2"/>
      <c r="P27" s="28"/>
      <c r="Q27" s="2"/>
      <c r="R27" s="2"/>
    </row>
    <row r="28" spans="1:19" x14ac:dyDescent="0.3">
      <c r="A28" s="46" t="s">
        <v>9</v>
      </c>
      <c r="B28" s="47" t="s">
        <v>5</v>
      </c>
      <c r="C28" s="48"/>
      <c r="D28" s="49">
        <f>ABS(IF(C31&gt;0,ROUND(140*C31/(0.5*25.745),2),"") &amp; IF(C32&gt;0,ROUND(140*C32/(0.5*2.5745),2),"") &amp; IF(C27&gt;0,ROUND(12.39841984/C27*140/(0.5*25.745),2),"")  &amp;IF(C28&gt;0,C28,"") &amp;IF(C29&gt;0,ROUND((C29*25.745/100000)*140/(25.745/2),2),"") &amp; IF(C30&gt;0,ROUND(2*140*SIN(RADIANS(C30)),2),""))</f>
        <v>77.5</v>
      </c>
      <c r="E28" s="49">
        <v>2</v>
      </c>
      <c r="F28" s="50">
        <v>60</v>
      </c>
      <c r="G28" s="51">
        <v>260</v>
      </c>
      <c r="L28" s="37"/>
      <c r="M28" s="35"/>
      <c r="N28" s="2"/>
      <c r="O28" s="2"/>
      <c r="P28" s="28"/>
      <c r="Q28" s="2"/>
      <c r="R28" s="2"/>
    </row>
    <row r="29" spans="1:19" ht="16.2" x14ac:dyDescent="0.3">
      <c r="A29" s="46" t="s">
        <v>45</v>
      </c>
      <c r="B29" s="47" t="s">
        <v>46</v>
      </c>
      <c r="C29" s="48"/>
      <c r="D29" s="52">
        <f>ABS(IF(C31&gt;0,ROUND(100000*C31/25.745,0),"") &amp; IF(C32&gt;0,ROUND(100000*C32/2.5745,0),"") &amp; IF(C27&gt;0, ROUND(12.39841984/C27*100000/25.745,0),"") &amp; IF(C28&gt;0, ROUND(C28/(140/(25.745/2))*100000/25.745,0),"") &amp; IF(C29&gt;0,C29,"")&amp;IF(C30&gt;0,ROUND(100000*SIN(RADIANS(C30)),0),""))</f>
        <v>27677</v>
      </c>
      <c r="E29" s="52">
        <v>0</v>
      </c>
      <c r="F29" s="50">
        <v>23000</v>
      </c>
      <c r="G29" s="53">
        <v>83000</v>
      </c>
      <c r="L29" s="37"/>
      <c r="M29" s="35"/>
      <c r="N29" s="2"/>
      <c r="O29" s="2"/>
      <c r="P29" s="28"/>
      <c r="Q29" s="2"/>
      <c r="R29" s="2"/>
    </row>
    <row r="30" spans="1:19" x14ac:dyDescent="0.3">
      <c r="A30" s="46" t="s">
        <v>47</v>
      </c>
      <c r="B30" s="47" t="s">
        <v>48</v>
      </c>
      <c r="C30" s="48"/>
      <c r="D30" s="52">
        <f>ABS(IF(C31&gt;0,ROUND(DEGREES(ASIN(C31/25.745)),3),"") &amp; IF(C32&gt;0,ROUND(DEGREES(ASIN(C32/2.5745)),3),"") &amp; IF(C27&gt;0, ROUND(DEGREES(ASIN(12.39841984/C27/25.745)),3),"") &amp; IF(C28&gt;0, ROUND(DEGREES(ASIN(C28/(140/(25.745/2))/25.745)),3),"") &amp; IF(C29&gt;0,ROUND(DEGREES(ASIN(C29/100000)),3),"")&amp; IF(C30&gt;0,C30,""))</f>
        <v>16.068000000000001</v>
      </c>
      <c r="E30" s="52">
        <v>3</v>
      </c>
      <c r="F30" s="50"/>
      <c r="G30" s="53"/>
      <c r="L30" s="37"/>
      <c r="M30" s="35"/>
      <c r="N30" s="2"/>
      <c r="O30" s="2"/>
      <c r="P30" s="28"/>
      <c r="Q30" s="2"/>
      <c r="R30" s="2"/>
    </row>
    <row r="31" spans="1:19" x14ac:dyDescent="0.3">
      <c r="A31" s="46" t="s">
        <v>6</v>
      </c>
      <c r="B31" s="47" t="s">
        <v>7</v>
      </c>
      <c r="C31" s="54"/>
      <c r="D31" s="49" t="str">
        <f>IF(C31&gt;0,C31,"")&amp;IF(C32&gt;0,C32*10,"")&amp;IF(C27&gt;0,ROUND(12.39841984/C27,4),"")&amp;IF(C28&gt;0,ROUND(C28/(140/(25.745/2)),4),"")&amp;IF(C29&gt;0,ROUND(C29*25.745/100000,4),"")&amp;IF(C30&gt;0,ROUND(25.745*SIN(RADIANS(C30)),4),"")</f>
        <v>7.1255</v>
      </c>
      <c r="E31" s="49">
        <v>4</v>
      </c>
      <c r="F31" s="50"/>
      <c r="G31" s="51"/>
      <c r="L31" s="37"/>
      <c r="M31" s="35"/>
      <c r="N31" s="2"/>
      <c r="O31" s="2"/>
      <c r="P31" s="28"/>
      <c r="Q31" s="2"/>
      <c r="R31" s="2"/>
    </row>
    <row r="32" spans="1:19" ht="15" thickBot="1" x14ac:dyDescent="0.35">
      <c r="A32" s="55" t="s">
        <v>6</v>
      </c>
      <c r="B32" s="56" t="s">
        <v>3</v>
      </c>
      <c r="C32" s="57"/>
      <c r="D32" s="58" t="str">
        <f>IF(C31&gt;0,C31/10,"")&amp;IF(C32&gt;0,C32,"")&amp;  IF(C27&gt;0,ROUND(1.239841984/C27,5),"") &amp; IF(C28&gt;0,ROUND(C28/(140/(2.5745/2)),5),"")&amp; IF(C29&gt;0,ROUND(C29*2.5745/100000,5),"")&amp; IF(C30&gt;0,ROUND(2.5745*SIN(RADIANS(C30)),5),"")</f>
        <v>0.71255</v>
      </c>
      <c r="E32" s="58">
        <v>5</v>
      </c>
      <c r="F32" s="59"/>
      <c r="G32" s="60"/>
      <c r="L32" s="7"/>
      <c r="M32" s="7"/>
      <c r="N32" s="7"/>
      <c r="O32" s="7"/>
      <c r="P32" s="7"/>
      <c r="Q32" s="7"/>
      <c r="R32" s="7"/>
      <c r="S32" s="7"/>
    </row>
    <row r="33" spans="1:17" x14ac:dyDescent="0.3">
      <c r="A33" s="61" t="s">
        <v>49</v>
      </c>
      <c r="B33" s="47"/>
      <c r="C33" s="62"/>
      <c r="D33" s="49"/>
      <c r="E33" s="49"/>
      <c r="F33" s="50"/>
      <c r="G33" s="50"/>
      <c r="L33" s="33"/>
      <c r="M33" s="34"/>
      <c r="N33" s="34"/>
      <c r="O33" s="34"/>
      <c r="P33" s="34"/>
      <c r="Q33" s="34"/>
    </row>
    <row r="37" spans="1:17" x14ac:dyDescent="0.3">
      <c r="L37" s="25"/>
    </row>
    <row r="55" spans="10:15" x14ac:dyDescent="0.3">
      <c r="J55" s="2"/>
      <c r="K55" s="7"/>
      <c r="L55" s="3"/>
      <c r="M55" s="3"/>
      <c r="N55" s="4"/>
      <c r="O55" s="4"/>
    </row>
  </sheetData>
  <conditionalFormatting sqref="D4">
    <cfRule type="cellIs" dxfId="12" priority="36" operator="notBetween">
      <formula>60</formula>
      <formula>260</formula>
    </cfRule>
  </conditionalFormatting>
  <conditionalFormatting sqref="D5">
    <cfRule type="cellIs" dxfId="11" priority="35" operator="notBetween">
      <formula>23000</formula>
      <formula>83000</formula>
    </cfRule>
  </conditionalFormatting>
  <conditionalFormatting sqref="D12">
    <cfRule type="cellIs" dxfId="10" priority="30" operator="notBetween">
      <formula>60</formula>
      <formula>260</formula>
    </cfRule>
  </conditionalFormatting>
  <conditionalFormatting sqref="D13">
    <cfRule type="cellIs" dxfId="9" priority="29" operator="notBetween">
      <formula>23000</formula>
      <formula>83000</formula>
    </cfRule>
  </conditionalFormatting>
  <conditionalFormatting sqref="D20">
    <cfRule type="cellIs" dxfId="8" priority="26" operator="notBetween">
      <formula>60</formula>
      <formula>260</formula>
    </cfRule>
  </conditionalFormatting>
  <conditionalFormatting sqref="D21">
    <cfRule type="cellIs" dxfId="7" priority="25" operator="notBetween">
      <formula>23000</formula>
      <formula>83000</formula>
    </cfRule>
  </conditionalFormatting>
  <conditionalFormatting sqref="D28">
    <cfRule type="cellIs" dxfId="6" priority="24" operator="notBetween">
      <formula>60</formula>
      <formula>260</formula>
    </cfRule>
  </conditionalFormatting>
  <conditionalFormatting sqref="D29">
    <cfRule type="cellIs" dxfId="5" priority="23" operator="notBetween">
      <formula>23000</formula>
      <formula>83000</formula>
    </cfRule>
  </conditionalFormatting>
  <conditionalFormatting sqref="L20">
    <cfRule type="cellIs" dxfId="4" priority="6" operator="notBetween">
      <formula>60</formula>
      <formula>260</formula>
    </cfRule>
  </conditionalFormatting>
  <conditionalFormatting sqref="L4">
    <cfRule type="cellIs" dxfId="3" priority="8" operator="notBetween">
      <formula>60</formula>
      <formula>260</formula>
    </cfRule>
  </conditionalFormatting>
  <conditionalFormatting sqref="L5">
    <cfRule type="cellIs" dxfId="2" priority="7" operator="notBetween">
      <formula>23000</formula>
      <formula>83000</formula>
    </cfRule>
  </conditionalFormatting>
  <conditionalFormatting sqref="L12">
    <cfRule type="cellIs" dxfId="1" priority="2" operator="notBetween">
      <formula>60</formula>
      <formula>260</formula>
    </cfRule>
  </conditionalFormatting>
  <conditionalFormatting sqref="L13">
    <cfRule type="cellIs" dxfId="0" priority="1" operator="notBetween">
      <formula>23000</formula>
      <formula>83000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2022-02-09T00:27:44Z</cp:lastPrinted>
  <dcterms:created xsi:type="dcterms:W3CDTF">2022-01-27T17:38:11Z</dcterms:created>
  <dcterms:modified xsi:type="dcterms:W3CDTF">2022-08-05T19:31:38Z</dcterms:modified>
</cp:coreProperties>
</file>